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E6BD2A48-A3C8-4EC7-AC22-160F4442D3CC}" xr6:coauthVersionLast="47" xr6:coauthVersionMax="47" xr10:uidLastSave="{00000000-0000-0000-0000-000000000000}"/>
  <bookViews>
    <workbookView xWindow="-120" yWindow="-120" windowWidth="29040" windowHeight="15840" activeTab="2" xr2:uid="{00000000-000D-0000-FFFF-FFFF00000000}"/>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<sst xmlns="http://schemas.openxmlformats.org/spreadsheetml/2006/main" count="428" uniqueCount="404">
  <si>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</si>
  <si>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</si>
  <si>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</si>
  <si>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</si>
  <si>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</si>
  <si>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</si>
  <si>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</si>
  <si>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</si>
  <si>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</si>
  <si>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</si>
  <si>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</si>
  <si>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</si>
  <si>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</si>
  <si>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</si>
  <si>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</si>
  <si>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</si>
  <si>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</si>
  <si>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</si>
  <si>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</si>
  <si>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</si>
  <si>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</si>
  <si>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</si>
  <si>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</si>
  <si>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</si>
  <si>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</si>
  <si>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</si>
  <si>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</si>
  <si>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</si>
  <si>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</si>
  <si>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</si>
  <si>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</si>
  <si>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</si>
  <si>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</si>
  <si>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</si>
  <si>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</si>
  <si>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</si>
  <si>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</si>
  <si>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</si>
  <si>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</si>
  <si>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</si>
  <si>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</si>
  <si>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</si>
  <si>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</si>
  <si>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</si>
  <si>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</si>
  <si>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</si>
  <si>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</si>
  <si>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</si>
  <si>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</si>
  <si>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</si>
  <si>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</si>
  <si>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</si>
  <si>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</si>
  <si>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</si>
  <si>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</si>
  <si>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</si>
  <si>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</si>
  <si>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</si>
  <si>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</si>
  <si>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</si>
  <si>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</si>
  <si>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</si>
  <si>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</si>
  <si>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</si>
  <si>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</si>
  <si>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</si>
  <si>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</si>
  <si>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</si>
  <si>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</si>
  <si>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</si>
  <si>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</si>
  <si>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</si>
  <si>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</si>
  <si>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</si>
  <si>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</si>
  <si>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</si>
  <si>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</si>
  <si>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</si>
  <si>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</si>
  <si>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</si>
  <si>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</si>
  <si>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</si>
  <si>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</si>
  <si>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</si>
  <si>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</si>
  <si>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</si>
  <si>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</si>
  <si>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</si>
  <si>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</si>
  <si>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</si>
  <si>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</si>
  <si>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</si>
  <si>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</si>
  <si>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</si>
  <si>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</si>
  <si>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</si>
  <si>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</si>
  <si>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</si>
  <si>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</si>
  <si>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</si>
  <si>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</si>
  <si>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</si>
  <si>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</si>
  <si>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</si>
  <si>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</si>
  <si>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</si>
  <si>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</si>
  <si>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</si>
  <si>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</si>
  <si>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</si>
  <si>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</si>
  <si>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</si>
  <si>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</si>
  <si>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</si>
  <si>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</si>
  <si>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</si>
  <si>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</si>
  <si>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</si>
  <si>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</si>
  <si>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</si>
  <si>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</si>
  <si>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</si>
  <si>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</si>
  <si>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</si>
  <si>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</si>
  <si>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</si>
  <si>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</si>
  <si>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</si>
  <si>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</si>
  <si>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</si>
  <si>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</si>
  <si>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</si>
  <si>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</si>
  <si>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</si>
  <si>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</si>
  <si>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</si>
  <si>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</si>
  <si>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</si>
  <si>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</si>
  <si>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</si>
  <si>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</si>
  <si>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</si>
  <si>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</si>
  <si>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</si>
  <si>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</si>
  <si>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</si>
  <si>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</si>
  <si>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</si>
  <si>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</si>
  <si>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</si>
  <si>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</si>
  <si>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</si>
  <si>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</si>
  <si>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</si>
  <si>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</si>
  <si>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</si>
  <si>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</si>
  <si>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</si>
  <si>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</si>
  <si>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</si>
  <si>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</si>
  <si>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</si>
  <si>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</si>
  <si>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</si>
  <si>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</si>
  <si>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</si>
  <si>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</si>
  <si>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</si>
  <si>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</si>
  <si>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</si>
  <si>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</si>
  <si>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</si>
  <si>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</si>
  <si>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</si>
  <si>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</si>
  <si>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</si>
  <si>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</si>
  <si>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</si>
  <si>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</si>
  <si>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</si>
  <si>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</si>
  <si>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</si>
  <si>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</si>
  <si>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</si>
  <si>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</si>
  <si>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</si>
  <si>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</si>
  <si>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</si>
  <si>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</si>
  <si>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</si>
  <si>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</si>
  <si>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</si>
  <si>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</si>
  <si>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</si>
  <si>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</si>
  <si>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</si>
  <si>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</si>
  <si>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</si>
  <si>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</si>
  <si>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</si>
  <si>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</si>
  <si>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</si>
  <si>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</si>
  <si>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</si>
  <si>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</si>
  <si>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</si>
  <si>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</si>
  <si>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</si>
  <si>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</si>
  <si>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</si>
  <si>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</si>
  <si>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</si>
  <si>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</si>
  <si>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</si>
  <si>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</si>
  <si>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</si>
  <si>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</si>
  <si>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</si>
  <si>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</si>
  <si>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</si>
  <si>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</si>
  <si>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</si>
  <si>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</si>
  <si>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</si>
  <si>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</si>
  <si>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</si>
  <si>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</si>
  <si>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</si>
  <si>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</si>
  <si>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</si>
  <si>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</si>
  <si>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</si>
  <si>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</si>
  <si>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</si>
  <si>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</si>
  <si>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</si>
  <si>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</si>
  <si>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</si>
  <si>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</si>
  <si>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</si>
  <si>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</si>
  <si>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</si>
  <si>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</si>
  <si>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</si>
  <si>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</si>
  <si>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</si>
  <si>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</si>
  <si>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</si>
  <si>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</si>
  <si>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</si>
  <si>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</si>
  <si>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</si>
  <si>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</si>
  <si>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</si>
  <si>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</si>
  <si>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</si>
  <si>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</si>
  <si>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</si>
  <si>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</si>
  <si>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</si>
  <si>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</si>
  <si>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</si>
  <si>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</si>
  <si>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</si>
  <si>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</si>
  <si>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</si>
  <si>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</si>
  <si>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</si>
  <si>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</si>
  <si>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</si>
  <si>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</si>
  <si>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</si>
  <si>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</si>
  <si>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</si>
  <si>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</si>
  <si>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</si>
  <si>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</si>
  <si>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</si>
  <si>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</si>
  <si>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</si>
  <si>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</si>
  <si>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</si>
  <si>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</si>
  <si>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</si>
  <si>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</si>
  <si>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</si>
  <si>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</si>
  <si>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</si>
  <si>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</si>
  <si>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</si>
  <si>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</si>
  <si>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</si>
  <si>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</si>
  <si>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</si>
  <si>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</si>
  <si>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</si>
  <si>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</si>
  <si>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</si>
  <si>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</si>
  <si>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</si>
  <si>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</si>
  <si>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</si>
  <si>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</si>
  <si>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</si>
  <si>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</si>
  <si>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</si>
  <si>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</si>
  <si>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</si>
  <si>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</si>
  <si>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</si>
  <si>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</si>
  <si>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</si>
  <si>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</si>
  <si>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</si>
  <si>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</si>
  <si>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</si>
  <si>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</si>
  <si>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</si>
  <si>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</si>
  <si>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</si>
  <si>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</si>
  <si>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</si>
  <si>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</si>
  <si>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</si>
  <si>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</si>
  <si>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</si>
  <si>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</si>
  <si>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</si>
  <si>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</si>
  <si>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</si>
  <si>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</si>
  <si>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</si>
  <si>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</si>
  <si>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</si>
  <si>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</si>
  <si>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</si>
  <si>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</si>
  <si>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</si>
  <si>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</si>
  <si>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</si>
  <si>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</si>
  <si>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</si>
  <si>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</si>
  <si>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</si>
  <si>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</si>
  <si>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</si>
  <si>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</si>
  <si>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</si>
  <si>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</si>
  <si>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</si>
  <si>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</si>
  <si>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</si>
  <si>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</si>
  <si>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</si>
  <si>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</si>
  <si>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</si>
  <si>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</si>
  <si>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</si>
  <si>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</si>
  <si>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</si>
  <si>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</si>
  <si>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</si>
  <si>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</si>
  <si>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</si>
  <si>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</si>
  <si>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</si>
  <si>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</si>
  <si>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</si>
  <si>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</si>
  <si>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</si>
  <si>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</si>
  <si>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</si>
  <si>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</si>
  <si>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</si>
  <si>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</si>
  <si>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</si>
  <si>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</si>
  <si>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</si>
  <si>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</si>
  <si>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</si>
  <si>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</si>
  <si>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</si>
  <si>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</si>
  <si>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</si>
  <si>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</si>
  <si>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</si>
  <si>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</si>
  <si>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</si>
  <si>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</si>
  <si>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</si>
  <si>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</si>
  <si>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</si>
  <si>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</si>
  <si>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</si>
  <si>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</si>
  <si>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</si>
  <si>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</si>
  <si>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</si>
  <si>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</si>
  <si>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</si>
  <si>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Richard.Pask1@westberks.gov.uk</t>
  </si>
  <si>
    <t>Richard Pask</t>
  </si>
  <si>
    <t>West Berkshire is unusual in that virtually all provision we procure in area is from major national providers and our own homes, with very little from owner-operated providers. Also we have a sufficiency of supply in Domicilliary care with currently near-zero waiting time and believe this will be the case in winter 2023/24. We believe our most acute risk for winter 2023/24 will be for nursing beds. We have focussed 23% of the additional funding on increasing and funding nursing block bed fees and provision to ensure availability for hospital discharge of people. One singular provider provides over half of our external provider nursing beds in West Berkshire, so retaining provison from them is critical to meeting winter needs.</t>
  </si>
  <si>
    <t xml:space="preserve">As West Berkshire does not have a waiting time issue, we have focussed on increasing fee rates and capacity, particularly with regard to winter. The additional funding has been apportioned as below:
£     22,000            Uplift to block fees to meet provider demands and ensure winter capacity from 1/4/23 
£     70,000           Additional 3 block beds to raise winter capacity – from 1/10/23
£     86,000           Covering cost of keeping unfilled block beds to ensure sufficient winter capacity – cost to date £69,000, but winter  demand should mean fewer voids
£   262,000           Uplift on older contracts to better align with current rates and provide a market rate for providers from 1/4/23
£    31,000             Uplift to a provider to ensure continuity in high demand/high needs residential LD from 1/4/23 
£   218,782            0.5% uplift to all other contracts on top of council funded uplift to improve  rates to providers 
£   761,782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</si>
</sst>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BL29"/>
  <sheetViews>
    <sheetView zoomScaleNormal="100" workbookViewId="0">
      <selection activeCell="A12" sqref="A12"/>
    </sheetView>
  </sheetViews>
  <sheetFormatPr defaultRowHeight="15" x14ac:dyDescent="0.25"/>
  <cols>
    <col min="1" max="1" width="120.7109375" style="1" customWidth="1"/>
    <col min="2" max="2" width="0" style="1" hidden="1" customWidth="1"/>
    <col min="3" max="3" width="41.140625" style="1" customWidth="1"/>
    <col min="4" max="64" width="9.140625" style="1"/>
  </cols>
  <sheetData>
    <row r="1" spans="1:13" s="2" customFormat="1" ht="15.75" x14ac:dyDescent="0.25">
      <c r="A1" s="3" t="s">
        <v>389</v>
      </c>
    </row>
    <row r="2" spans="1:13" x14ac:dyDescent="0.25">
      <c r="A2" s="28"/>
      <c r="C2" s="28"/>
      <c r="D2" s="28"/>
      <c r="E2" s="28"/>
      <c r="F2" s="28"/>
      <c r="G2" s="28"/>
      <c r="H2" s="28"/>
      <c r="I2" s="28"/>
      <c r="J2" s="28"/>
      <c r="K2" s="28"/>
      <c r="L2" s="28"/>
      <c r="M2" s="28"/>
    </row>
    <row r="3" spans="1:13" ht="15.75" x14ac:dyDescent="0.25">
      <c r="A3" s="4" t="s">
        <v>0</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384</v>
      </c>
      <c r="C5" s="28"/>
      <c r="D5" s="28"/>
      <c r="E5" s="28"/>
      <c r="F5" s="28"/>
      <c r="G5" s="28"/>
      <c r="H5" s="28"/>
      <c r="I5" s="28"/>
      <c r="J5" s="28"/>
      <c r="K5" s="28"/>
      <c r="L5" s="28"/>
      <c r="M5" s="28"/>
    </row>
    <row r="6" spans="1:13" ht="15.75" x14ac:dyDescent="0.25">
      <c r="A6" s="29" t="s">
        <v>379</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399</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393</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386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380</v>
      </c>
      <c r="C14" s="28"/>
      <c r="D14" s="28"/>
      <c r="E14" s="28"/>
      <c r="F14" s="28"/>
      <c r="G14" s="28"/>
      <c r="H14" s="28"/>
      <c r="I14" s="28"/>
      <c r="J14" s="28"/>
      <c r="K14" s="28"/>
      <c r="L14" s="28"/>
      <c r="M14" s="28"/>
    </row>
    <row r="15" spans="1:13" ht="61.5" customHeight="1" x14ac:dyDescent="0.25">
      <c r="A15" s="45" t="s">
        <v>1</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2</v>
      </c>
      <c r="C19" s="4" t="s">
        <v>3</v>
      </c>
    </row>
    <row r="20" spans="1:13" ht="15.75" x14ac:dyDescent="0.25">
      <c r="A20" s="4" t="s">
        <v>381</v>
      </c>
    </row>
    <row r="21" spans="1:13" ht="15.75" x14ac:dyDescent="0.25">
      <c r="A21" s="30" t="s">
        <v>175</v>
      </c>
      <c r="B21" s="31">
        <f>IF('Spend return'!B18="",0,1)</f>
        <v>1</v>
      </c>
      <c r="C21" s="32" t="str">
        <f t="shared" ref="C21:C26" si="0">IF(B21=1,"Yes","No")</f>
        <v>Yes</v>
      </c>
    </row>
    <row r="22" spans="1:13" ht="15.75" x14ac:dyDescent="0.25">
      <c r="A22" s="33" t="s">
        <v>176</v>
      </c>
      <c r="B22" s="34">
        <f>IF(ISBLANK('Spend return'!B24),0,1)*IF(ISNUMBER(SEARCH("@",'Spend return'!B25)),1,0)</f>
        <v>1</v>
      </c>
      <c r="C22" s="35" t="str">
        <f t="shared" si="0"/>
        <v>Yes</v>
      </c>
    </row>
    <row r="23" spans="1:13" ht="15.75" x14ac:dyDescent="0.25">
      <c r="A23" s="33" t="s">
        <v>178</v>
      </c>
      <c r="B23" s="34">
        <f>IF('Spend return'!B30="Yes - the funding has been allocated in full to adult social care",1,0)</f>
        <v>1</v>
      </c>
      <c r="C23" s="35" t="str">
        <f t="shared" si="0"/>
        <v>Yes</v>
      </c>
    </row>
    <row r="24" spans="1:13" ht="15.75" x14ac:dyDescent="0.25">
      <c r="A24" s="33" t="s">
        <v>179</v>
      </c>
      <c r="B24" s="34">
        <f>IF(OR('Spend return'!B35="Yes - we are targeting this area",'Spend return'!B36="Yes - we are targeting this area",'Spend return'!B37="Yes - we are targeting this area"),1,0)</f>
        <v>1</v>
      </c>
      <c r="C24" s="35" t="str">
        <f t="shared" si="0"/>
        <v>Yes</v>
      </c>
    </row>
    <row r="25" spans="1:13" ht="15.75" x14ac:dyDescent="0.2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181</v>
      </c>
      <c r="B26" s="36">
        <f>IFERROR(IF(AND('Spend return'!B45&gt;='Spend return'!B19-100,'Spend return'!B45&lt;='Spend return'!B19+100),1,0),0)</f>
        <v>1</v>
      </c>
      <c r="C26" s="37" t="str">
        <f t="shared" si="0"/>
        <v>Yes</v>
      </c>
    </row>
    <row r="27" spans="1:13" ht="15.75" x14ac:dyDescent="0.25">
      <c r="A27" s="4" t="s">
        <v>382</v>
      </c>
    </row>
    <row r="28" spans="1:13" ht="15.75" x14ac:dyDescent="0.25">
      <c r="A28" s="30" t="s">
        <v>182</v>
      </c>
      <c r="B28" s="38">
        <f>IF(ISBLANK('Qualitative report'!A19),0,1)</f>
        <v>1</v>
      </c>
      <c r="C28" s="32" t="str">
        <f>IF(B28=1,"Yes","No")</f>
        <v>Yes</v>
      </c>
    </row>
    <row r="29" spans="1:13" ht="15.75" x14ac:dyDescent="0.2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BN65"/>
  <sheetViews>
    <sheetView topLeftCell="B31" workbookViewId="0">
      <selection activeCell="B44" sqref="B44"/>
    </sheetView>
  </sheetViews>
  <sheetFormatPr defaultRowHeight="15" x14ac:dyDescent="0.25"/>
  <cols>
    <col min="1" max="1" width="120.7109375" style="1" customWidth="1"/>
    <col min="2" max="2" width="62.140625" style="1" customWidth="1"/>
    <col min="3" max="66" width="9.140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2" t="s">
        <v>395</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396</v>
      </c>
      <c r="B6" s="28"/>
      <c r="C6" s="28"/>
      <c r="D6" s="28"/>
      <c r="E6" s="28"/>
      <c r="F6" s="28"/>
      <c r="G6" s="28"/>
      <c r="H6" s="28"/>
      <c r="I6" s="28"/>
      <c r="J6" s="28"/>
      <c r="K6" s="28"/>
    </row>
    <row r="7" spans="1:11" ht="30.75" x14ac:dyDescent="0.25">
      <c r="A7" s="41" t="s">
        <v>392</v>
      </c>
      <c r="B7" s="28"/>
      <c r="C7" s="28"/>
      <c r="D7" s="28"/>
      <c r="E7" s="28"/>
      <c r="F7" s="28"/>
      <c r="G7" s="28"/>
      <c r="H7" s="28"/>
      <c r="I7" s="28"/>
      <c r="J7" s="28"/>
      <c r="K7" s="28"/>
    </row>
    <row r="8" spans="1:11" ht="60.75" x14ac:dyDescent="0.25">
      <c r="A8" s="41" t="s">
        <v>397</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398</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162</v>
      </c>
    </row>
    <row r="19" spans="1:11" ht="15.75" x14ac:dyDescent="0.25">
      <c r="A19" s="7" t="s">
        <v>9</v>
      </c>
      <c r="B19" s="9">
        <f>IFERROR(INDEX('LA Allocations'!B2:B154,MATCH('Spend return'!B18,'LA Allocations'!A2:A154,0)),"")</f>
        <v>761782</v>
      </c>
    </row>
    <row r="22" spans="1:11" ht="15.75" x14ac:dyDescent="0.25">
      <c r="A22" s="4" t="s">
        <v>10</v>
      </c>
    </row>
    <row r="23" spans="1:11" ht="15.75" x14ac:dyDescent="0.25">
      <c r="A23" s="6" t="s">
        <v>7</v>
      </c>
      <c r="B23" s="6" t="s">
        <v>383</v>
      </c>
    </row>
    <row r="24" spans="1:11" ht="15.75" x14ac:dyDescent="0.25">
      <c r="A24" s="7" t="s">
        <v>11</v>
      </c>
      <c r="B24" s="10" t="s">
        <v>401</v>
      </c>
    </row>
    <row r="25" spans="1:11" ht="15.75" x14ac:dyDescent="0.25">
      <c r="A25" s="7" t="s">
        <v>12</v>
      </c>
      <c r="B25" s="11" t="s">
        <v>400</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t="s">
        <v>186</v>
      </c>
    </row>
    <row r="37" spans="1:3" ht="15.75" x14ac:dyDescent="0.25">
      <c r="A37" s="14" t="s">
        <v>190</v>
      </c>
      <c r="B37" s="15" t="s">
        <v>186</v>
      </c>
    </row>
    <row r="40" spans="1:3" ht="15.75" x14ac:dyDescent="0.25">
      <c r="A40" s="4" t="s">
        <v>391</v>
      </c>
    </row>
    <row r="41" spans="1:3" ht="15.75" x14ac:dyDescent="0.25">
      <c r="A41" s="6" t="s">
        <v>7</v>
      </c>
      <c r="B41" s="6" t="s">
        <v>8</v>
      </c>
    </row>
    <row r="42" spans="1:3" ht="15.75" x14ac:dyDescent="0.25">
      <c r="A42" s="7" t="s">
        <v>191</v>
      </c>
      <c r="B42" s="16">
        <v>761782</v>
      </c>
      <c r="C42" s="40" t="str">
        <f>IF(AND(B42&gt;0,B35="No - we are not targeting this area"),"Warning: local authority has reported spend in area that they are not targeting.","")</f>
        <v/>
      </c>
    </row>
    <row r="43" spans="1:3" ht="15.75" x14ac:dyDescent="0.25">
      <c r="A43" s="7" t="s">
        <v>16</v>
      </c>
      <c r="B43" s="16">
        <v>0</v>
      </c>
      <c r="C43" s="40" t="str">
        <f>IF(AND(B43&gt;0,B36="No - we are not targeting this area"),"Warning: local authority has reported spend in area that they are not targeting.","")</f>
        <v/>
      </c>
    </row>
    <row r="44" spans="1:3" ht="15.75" x14ac:dyDescent="0.25">
      <c r="A44" s="7" t="s">
        <v>192</v>
      </c>
      <c r="B44" s="16">
        <v>0</v>
      </c>
      <c r="C44" s="40" t="str">
        <f>IF(AND(B44&gt;0,B37="No - we are not targeting this area"),"Warning: local authority has reported spend in area that they are not targeting.","")</f>
        <v/>
      </c>
    </row>
    <row r="45" spans="1:3" ht="15.75" x14ac:dyDescent="0.25">
      <c r="A45" s="17" t="s">
        <v>15</v>
      </c>
      <c r="B45" s="9">
        <f>IFERROR(SUM(B42:B44),"")</f>
        <v>761782</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00000000-0002-0000-0100-000000000000}">
      <formula1>B47+B48+B49+B50=B19</formula1>
    </dataValidation>
    <dataValidation type="custom" allowBlank="1" showInputMessage="1" showErrorMessage="1" errorTitle="Invalid Input" error="Please enter a valid email address" sqref="B25" xr:uid="{00000000-0002-0000-0100-000001000000}">
      <formula1>FIND("@",B25)&gt;0</formula1>
    </dataValidation>
    <dataValidation type="custom" operator="greaterThanOrEqual" allowBlank="1" showInputMessage="1" showErrorMessage="1" errorTitle="Invalid Input" error="Please enter text here" sqref="B24" xr:uid="{00000000-0002-0000-0100-000002000000}">
      <formula1>ISTEXT(B24)</formula1>
    </dataValidation>
    <dataValidation type="custom" allowBlank="1" showInputMessage="1" showErrorMessage="1" errorTitle="Invalid Input" error="Please ener a numeric value greater than or equal to 0" sqref="B43" xr:uid="{00000000-0002-0000-0100-000003000000}">
      <formula1>AND(ISNUMBER(B43),B43&gt;=0)</formula1>
    </dataValidation>
    <dataValidation type="custom" allowBlank="1" showInputMessage="1" showErrorMessage="1" errorTitle="Invalid Input" error="Please enter a numeric value greater than or equal to 0" sqref="B42 B44" xr:uid="{00000000-0002-0000-0100-000004000000}">
      <formula1>AND(ISNUMBER(B42),B42&gt;=0)</formula1>
    </dataValidation>
  </dataValidations>
  <hyperlinks>
    <hyperlink ref="A7" r:id="rId1" xr:uid="{00000000-0004-0000-01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00000000-0002-0000-0100-000005000000}">
          <x14:formula1>
            <xm:f>'LA Allocations'!$A$2:$A$154</xm:f>
          </x14:formula1>
          <xm:sqref>B18</xm:sqref>
        </x14:dataValidation>
        <x14:dataValidation type="list" allowBlank="1" showInputMessage="1" showErrorMessage="1" errorTitle="Invalid Input" error="Please select an option from the drop-down list" xr:uid="{00000000-0002-0000-0100-000006000000}">
          <x14:formula1>
            <xm:f>'LA Allocations'!$A$167:$A$168</xm:f>
          </x14:formula1>
          <xm:sqref>B30</xm:sqref>
        </x14:dataValidation>
        <x14:dataValidation type="list" allowBlank="1" showInputMessage="1" showErrorMessage="1" errorTitle="Invalid Input" error="Please select an option from the drop-down list" xr:uid="{00000000-0002-0000-0100-000007000000}">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BP26"/>
  <sheetViews>
    <sheetView tabSelected="1" topLeftCell="A20" workbookViewId="0">
      <selection activeCell="A23" sqref="A23"/>
    </sheetView>
  </sheetViews>
  <sheetFormatPr defaultRowHeight="15" x14ac:dyDescent="0.25"/>
  <cols>
    <col min="1" max="1" width="120.7109375" style="1" customWidth="1"/>
    <col min="2" max="68" width="9.140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2" t="s">
        <v>385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377</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17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403</v>
      </c>
    </row>
    <row r="22" spans="1:16" ht="15.75" x14ac:dyDescent="0.25">
      <c r="A22" s="4" t="s">
        <v>188</v>
      </c>
    </row>
    <row r="23" spans="1:16" ht="360" customHeight="1" x14ac:dyDescent="0.25">
      <c r="A23" s="21" t="s">
        <v>402</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00000000-0002-0000-0200-000000000000}">
      <formula1>2500</formula1>
    </dataValidation>
  </dataValidations>
  <hyperlinks>
    <hyperlink ref="A13" r:id="rId1"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85546875" customWidth="1"/>
    <col min="3" max="3" width="9.855468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ht="14.45" x14ac:dyDescent="0.35">
      <c r="A167" t="s">
        <v>183</v>
      </c>
    </row>
    <row r="168" spans="1:1" ht="14.45" x14ac:dyDescent="0.35">
      <c r="A168" t="s">
        <v>184</v>
      </c>
    </row>
    <row r="171" spans="1:1" ht="14.45" x14ac:dyDescent="0.35">
      <c r="A171" t="s">
        <v>185</v>
      </c>
    </row>
    <row r="172" spans="1:1" ht="14.45" x14ac:dyDescent="0.3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West Berkshire</v>
      </c>
      <c r="C5" t="str">
        <f>IF(ISBLANK('Spend return'!B18),"BLANK",INDEX('LA Allocations'!$C$2:$C$154,MATCH('Spend return'!B18,'LA Allocations'!$A$2:$A$154,0)))</f>
        <v>E06000037</v>
      </c>
      <c r="D5">
        <f>IF(ISBLANK('Spend return'!B19),"BLANK",'Spend return'!B19)</f>
        <v>761782</v>
      </c>
      <c r="E5" t="str">
        <f>IF(ISBLANK('Spend return'!B24),"BLANK",'Spend return'!B24)</f>
        <v>Richard Pask</v>
      </c>
      <c r="F5" t="str">
        <f>IF(ISBLANK('Spend return'!B25),"BLANK",'Spend return'!B25)</f>
        <v>Richard.Pask1@westberks.gov.uk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761782</v>
      </c>
      <c r="L5">
        <f>IF(ISBLANK('Spend return'!B43),"BLANK",'Spend return'!B43)</f>
        <v>0</v>
      </c>
      <c r="M5">
        <f>IF(ISBLANK('Spend return'!B44),"BLANK",'Spend return'!B44)</f>
        <v>0</v>
      </c>
      <c r="N5">
        <f>IF(ISBLANK('Spend return'!B45),"BLANK",'Spend return'!B45)</f>
        <v>761782</v>
      </c>
      <c r="O5" t="str">
        <f>IF(ISBLANK('Qualitative report'!A19),"BLANK",'Qualitative report'!A19)</f>
        <v xml:space="preserve">As West Berkshire does not have a waiting time issue, we have focussed on increasing fee rates and capacity, particularly with regard to winter. The additional funding has been apportioned as below:
£     22,000            Uplift to block fees to meet provider demands and ensure winter capacity from 1/4/23 
£     70,000           Additional 3 block beds to raise winter capacity – from 1/10/23
£     86,000           Covering cost of keeping unfilled block beds to ensure sufficient winter capacity – cost to date £69,000, but winter  demand should mean fewer voids
£   262,000           Uplift on older contracts to better align with current rates and provide a market rate for providers from 1/4/23
£    31,000             Uplift to a provider to ensure continuity in high demand/high needs residential LD from 1/4/23 
£   218,782            0.5% uplift to all other contracts on top of council funded uplift to improve  rates to providers 
£   761,782            Total
</v>
      </c>
      <c r="P5" t="str">
        <f>IF(ISBLANK('Qualitative report'!A23),"BLANK",'Qualitative report'!A23)</f>
        <v>West Berkshire is unusual in that virtually all provision we procure in area is from major national providers and our own homes, with very little from owner-operated providers. Also we have a sufficiency of supply in Domicilliary care with currently near-zero waiting time and believe this will be the case in winter 2023/24. We believe our most acute risk for winter 2023/24 will be for nursing beds. We have focussed 23% of the additional funding on increasing and funding nursing block bed fees and provision to ensure availability for hospital discharge of people. One singular provider provides over half of our external provider nursing beds in West Berkshire, so retaining provison from them is critical to meeting winter needs.</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992771-BD05-4340-8B49-904369B8A8C5}">
  <ds:schemaRef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34f15714-548d-495f-a9b0-f58ce09e51d1"/>
    <ds:schemaRef ds:uri="7733dd27-db60-40e2-8fa1-8ddcdc226c7b"/>
    <ds:schemaRef ds:uri="http://www.w3.org/XML/1998/namespace"/>
    <ds:schemaRef ds:uri="http://purl.org/dc/dcmitype/"/>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2023-09-28T07:41:42Z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ies>
</file>